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und notes\"/>
    </mc:Choice>
  </mc:AlternateContent>
  <xr:revisionPtr revIDLastSave="0" documentId="13_ncr:1_{0800E272-C9B4-4B9A-B7B0-CD2B88B41FB0}" xr6:coauthVersionLast="47" xr6:coauthVersionMax="47" xr10:uidLastSave="{00000000-0000-0000-0000-000000000000}"/>
  <bookViews>
    <workbookView xWindow="-120" yWindow="-120" windowWidth="29040" windowHeight="15060" xr2:uid="{A6C85699-1757-4CEE-A42B-E1D2DF120921}"/>
  </bookViews>
  <sheets>
    <sheet name="Endowm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1" i="1"/>
  <c r="I14" i="1"/>
  <c r="I16" i="1"/>
  <c r="D20" i="1"/>
  <c r="E11" i="1" s="1"/>
  <c r="E20" i="1" s="1"/>
  <c r="F11" i="1" s="1"/>
  <c r="F20" i="1" s="1"/>
  <c r="G11" i="1" s="1"/>
  <c r="G20" i="1" s="1"/>
  <c r="H11" i="1" s="1"/>
  <c r="H20" i="1" s="1"/>
  <c r="I11" i="1" s="1"/>
  <c r="D22" i="1"/>
  <c r="E22" i="1"/>
  <c r="F22" i="1"/>
  <c r="G22" i="1"/>
  <c r="H22" i="1"/>
  <c r="J29" i="1"/>
  <c r="K29" i="1"/>
  <c r="D23" i="1"/>
  <c r="E23" i="1"/>
  <c r="F23" i="1"/>
  <c r="G23" i="1"/>
  <c r="H23" i="1"/>
  <c r="I23" i="1"/>
  <c r="D25" i="1"/>
  <c r="D29" i="1" s="1"/>
  <c r="E25" i="1"/>
  <c r="E29" i="1" s="1"/>
  <c r="F25" i="1"/>
  <c r="G25" i="1"/>
  <c r="H25" i="1"/>
  <c r="I25" i="1"/>
  <c r="L27" i="1"/>
  <c r="L30" i="1" s="1"/>
  <c r="D26" i="1"/>
  <c r="E26" i="1"/>
  <c r="F26" i="1"/>
  <c r="G26" i="1"/>
  <c r="H26" i="1"/>
  <c r="I26" i="1"/>
  <c r="I27" i="1" s="1"/>
  <c r="I30" i="1" s="1"/>
  <c r="J26" i="1"/>
  <c r="K26" i="1"/>
  <c r="L26" i="1"/>
  <c r="M26" i="1"/>
  <c r="M27" i="1" s="1"/>
  <c r="J27" i="1"/>
  <c r="K27" i="1"/>
  <c r="I32" i="1"/>
  <c r="H29" i="1" l="1"/>
  <c r="J30" i="1"/>
  <c r="K30" i="1"/>
  <c r="I29" i="1"/>
  <c r="G29" i="1"/>
  <c r="F29" i="1"/>
  <c r="L29" i="1"/>
  <c r="G27" i="1"/>
  <c r="G30" i="1" s="1"/>
  <c r="E27" i="1"/>
  <c r="E30" i="1" s="1"/>
  <c r="D27" i="1"/>
  <c r="D30" i="1" s="1"/>
  <c r="H27" i="1"/>
  <c r="H30" i="1" s="1"/>
  <c r="I35" i="1"/>
  <c r="F27" i="1"/>
  <c r="F30" i="1" s="1"/>
  <c r="I37" i="1"/>
  <c r="I33" i="1"/>
  <c r="I36" i="1"/>
  <c r="I20" i="1" l="1"/>
  <c r="I39" i="1"/>
  <c r="J32" i="1" s="1"/>
  <c r="J33" i="1" s="1"/>
  <c r="J11" i="1" l="1"/>
  <c r="J14" i="1" s="1"/>
  <c r="J36" i="1"/>
  <c r="J37" i="1"/>
  <c r="J35" i="1"/>
  <c r="J17" i="1" l="1"/>
  <c r="J16" i="1"/>
  <c r="J18" i="1"/>
  <c r="J39" i="1"/>
  <c r="K32" i="1" s="1"/>
  <c r="K35" i="1" s="1"/>
  <c r="K36" i="1"/>
  <c r="K33" i="1"/>
  <c r="K37" i="1"/>
  <c r="J20" i="1" l="1"/>
  <c r="K11" i="1" s="1"/>
  <c r="K14" i="1" s="1"/>
  <c r="K39" i="1"/>
  <c r="L32" i="1" s="1"/>
  <c r="K17" i="1" l="1"/>
  <c r="K16" i="1"/>
  <c r="K18" i="1"/>
  <c r="K20" i="1"/>
  <c r="L11" i="1" s="1"/>
  <c r="L37" i="1"/>
  <c r="L35" i="1"/>
  <c r="L36" i="1"/>
  <c r="L33" i="1"/>
  <c r="L16" i="1" l="1"/>
  <c r="L17" i="1"/>
  <c r="L14" i="1"/>
  <c r="L18" i="1"/>
  <c r="L39" i="1"/>
  <c r="M32" i="1" s="1"/>
  <c r="M35" i="1" s="1"/>
  <c r="L20" i="1" l="1"/>
  <c r="M11" i="1" s="1"/>
  <c r="M37" i="1"/>
  <c r="M36" i="1"/>
  <c r="M33" i="1"/>
  <c r="M39" i="1" s="1"/>
  <c r="M17" i="1" l="1"/>
  <c r="M18" i="1"/>
  <c r="M14" i="1"/>
  <c r="M16" i="1"/>
  <c r="M20" i="1" l="1"/>
</calcChain>
</file>

<file path=xl/sharedStrings.xml><?xml version="1.0" encoding="utf-8"?>
<sst xmlns="http://schemas.openxmlformats.org/spreadsheetml/2006/main" count="31" uniqueCount="25">
  <si>
    <t>Henry C. Dennis And Sara B. Dennis 624 Champion Building Endowment Fund</t>
  </si>
  <si>
    <t>Assessment for community support</t>
  </si>
  <si>
    <t>Investment Consultant Fees</t>
  </si>
  <si>
    <t>Distributions</t>
  </si>
  <si>
    <t>Investment Return</t>
  </si>
  <si>
    <t>Operating Reserve and Savings as a % of Operating Expense</t>
  </si>
  <si>
    <t>Operating Reserve as a % of Operating Expense</t>
  </si>
  <si>
    <t>Savings</t>
  </si>
  <si>
    <t>Operating Reserve</t>
  </si>
  <si>
    <t>Net Operating Cash</t>
  </si>
  <si>
    <t>Net Operating Expense</t>
  </si>
  <si>
    <t>Ending Balance</t>
  </si>
  <si>
    <t>Additional Contributions Needed</t>
  </si>
  <si>
    <t>Amount left to raise excluding assumed average gifts</t>
  </si>
  <si>
    <t>Contributions</t>
  </si>
  <si>
    <t>Amount left to raise</t>
  </si>
  <si>
    <t>Beginning Balance</t>
  </si>
  <si>
    <t>Estimates</t>
  </si>
  <si>
    <t>Actual Numbers</t>
  </si>
  <si>
    <t>Estimated fee</t>
  </si>
  <si>
    <t>Distribution Rate</t>
  </si>
  <si>
    <t>Avg. Investment Return</t>
  </si>
  <si>
    <t>Assumptions</t>
  </si>
  <si>
    <t>ACF Endowment</t>
  </si>
  <si>
    <t xml:space="preserve">Average contributions 2018 - 2022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</si>
</sst>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164" fontId="2" fillId="2" borderId="0" xfId="2" applyNumberFormat="1" applyFont="1" applyFill="1"/>
    <xf numFmtId="6" fontId="0" fillId="2" borderId="0" xfId="0" applyNumberFormat="1" applyFill="1"/>
    <xf numFmtId="0" fontId="0" fillId="2" borderId="0" xfId="0" applyFill="1" applyAlignment="1">
      <alignment horizontal="right"/>
    </xf>
    <xf numFmtId="10" fontId="0" fillId="2" borderId="0" xfId="0" applyNumberFormat="1" applyFill="1"/>
    <xf numFmtId="0" fontId="0" fillId="2" borderId="0" xfId="0" applyFill="1" applyAlignment="1">
      <alignment horizontal="left"/>
    </xf>
    <xf numFmtId="10" fontId="0" fillId="2" borderId="0" xfId="3" applyNumberFormat="1" applyFont="1" applyFill="1"/>
    <xf numFmtId="0" fontId="2" fillId="2" borderId="2" xfId="0" applyFont="1" applyFill="1" applyBorder="1" applyAlignment="1">
      <alignment horizontal="center"/>
    </xf>
    <xf numFmtId="165" fontId="0" fillId="2" borderId="0" xfId="1" applyNumberFormat="1" applyFont="1" applyFill="1"/>
    <xf numFmtId="164" fontId="2" fillId="2" borderId="1" xfId="2" applyNumberFormat="1" applyFont="1" applyFill="1" applyBorder="1"/>
    <xf numFmtId="165" fontId="0" fillId="2" borderId="0" xfId="0" applyNumberFormat="1" applyFill="1"/>
    <xf numFmtId="164" fontId="0" fillId="2" borderId="0" xfId="2" applyNumberFormat="1" applyFont="1" applyFill="1"/>
    <xf numFmtId="164" fontId="0" fillId="2" borderId="1" xfId="2" applyNumberFormat="1" applyFont="1" applyFill="1" applyBorder="1"/>
    <xf numFmtId="9" fontId="2" fillId="2" borderId="0" xfId="3" applyFont="1" applyFill="1"/>
    <xf numFmtId="9" fontId="0" fillId="2" borderId="0" xfId="3" applyFont="1" applyFill="1"/>
    <xf numFmtId="0" fontId="0" fillId="2" borderId="0" xfId="0" applyFill="1" applyAlignment="1">
      <alignment horizontal="left" wrapText="1"/>
    </xf>
    <xf numFmtId="165" fontId="0" fillId="2" borderId="0" xfId="0" applyNumberFormat="1" applyFill="1" applyAlignment="1">
      <alignment wrapText="1"/>
    </xf>
    <xf numFmtId="165" fontId="0" fillId="2" borderId="0" xfId="2" applyNumberFormat="1" applyFont="1" applyFill="1"/>
    <xf numFmtId="164" fontId="2" fillId="2" borderId="0" xfId="2" applyNumberFormat="1" applyFont="1" applyFill="1" applyAlignment="1">
      <alignment wrapText="1"/>
    </xf>
    <xf numFmtId="44" fontId="2" fillId="2" borderId="0" xfId="2" applyFont="1" applyFill="1"/>
    <xf numFmtId="44" fontId="2" fillId="2" borderId="0" xfId="2" applyFont="1" applyFill="1" applyAlignment="1">
      <alignment vertical="center"/>
    </xf>
    <xf numFmtId="165" fontId="2" fillId="2" borderId="0" xfId="0" applyNumberFormat="1" applyFont="1" applyFill="1"/>
    <xf numFmtId="44" fontId="2" fillId="2" borderId="0" xfId="2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44" fontId="2" fillId="2" borderId="0" xfId="2" applyFont="1" applyFill="1" applyAlignment="1">
      <alignment horizontal="right" wrapText="1"/>
    </xf>
    <xf numFmtId="44" fontId="2" fillId="2" borderId="0" xfId="2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164" fontId="0" fillId="2" borderId="0" xfId="0" applyNumberFormat="1" applyFill="1"/>
  </cellXfs>
  <cellStyles count="5">
    <cellStyle name="Comma" xfId="1" builtinId="3"/>
    <cellStyle name="Comma 2" xfId="4" xr:uid="{DBE18253-6D6D-4E79-AB57-DC19E67D4F95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ck\OneDrive%20-%20Albuquerque%20Community%20Foundation\Desktop\2026%20Endowment%20Projections%20nick%209.20%20(version%201).xlsx" TargetMode="External"/><Relationship Id="rId1" Type="http://schemas.openxmlformats.org/officeDocument/2006/relationships/externalLinkPath" Target="file:///C:\Users\nick\OneDrive%20-%20Albuquerque%20Community%20Foundation\Desktop\2026%20Endowment%20Projections%20nick%209.20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Endowment(1)"/>
      <sheetName val="Budget(1)"/>
      <sheetName val="Salary(1)"/>
      <sheetName val="Endowment(2)"/>
      <sheetName val="Budget(2)"/>
      <sheetName val="Salary(2)"/>
      <sheetName val="Endowment(3)"/>
      <sheetName val="Budget(3)"/>
      <sheetName val="Salary(3)"/>
      <sheetName val="Endowment(4)"/>
      <sheetName val="Budget(4)"/>
      <sheetName val="Salary(4)"/>
      <sheetName val="Heritage"/>
      <sheetName val="Contribution History"/>
    </sheetNames>
    <sheetDataSet>
      <sheetData sheetId="0"/>
      <sheetData sheetId="1"/>
      <sheetData sheetId="2">
        <row r="52">
          <cell r="D52">
            <v>1388429</v>
          </cell>
          <cell r="E52">
            <v>1452060</v>
          </cell>
          <cell r="F52">
            <v>1505898</v>
          </cell>
          <cell r="G52">
            <v>1783634</v>
          </cell>
          <cell r="H52">
            <v>2130713</v>
          </cell>
        </row>
        <row r="58">
          <cell r="D58">
            <v>109435</v>
          </cell>
          <cell r="E58">
            <v>198454</v>
          </cell>
          <cell r="F58">
            <v>358609</v>
          </cell>
          <cell r="G58">
            <v>173355</v>
          </cell>
          <cell r="H58">
            <v>542772</v>
          </cell>
          <cell r="I58">
            <v>424160</v>
          </cell>
        </row>
        <row r="60">
          <cell r="D60">
            <v>605115.29</v>
          </cell>
          <cell r="E60">
            <v>803569.29</v>
          </cell>
          <cell r="F60">
            <v>1162178.29</v>
          </cell>
          <cell r="G60">
            <v>1335714.6200000001</v>
          </cell>
          <cell r="H60">
            <v>1878486.62</v>
          </cell>
          <cell r="I60">
            <v>2302646.62</v>
          </cell>
        </row>
        <row r="61">
          <cell r="D61">
            <v>272567</v>
          </cell>
          <cell r="E61">
            <v>272567</v>
          </cell>
          <cell r="F61">
            <v>272567</v>
          </cell>
          <cell r="G61">
            <v>272567</v>
          </cell>
          <cell r="H61">
            <v>272567</v>
          </cell>
          <cell r="I61">
            <v>272567</v>
          </cell>
          <cell r="J61">
            <v>272567</v>
          </cell>
          <cell r="K61">
            <v>272567</v>
          </cell>
          <cell r="L61">
            <v>272567</v>
          </cell>
          <cell r="M61">
            <v>272567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5659-E919-4935-AA69-27326049D5F6}">
  <sheetPr>
    <pageSetUpPr fitToPage="1"/>
  </sheetPr>
  <dimension ref="B2:P43"/>
  <sheetViews>
    <sheetView tabSelected="1" topLeftCell="A4" workbookViewId="0">
      <selection activeCell="L23" sqref="L23"/>
    </sheetView>
  </sheetViews>
  <sheetFormatPr defaultRowHeight="15" x14ac:dyDescent="0.25"/>
  <cols>
    <col min="1" max="1" width="3.85546875" style="2" customWidth="1"/>
    <col min="2" max="2" width="3.28515625" style="2" customWidth="1"/>
    <col min="3" max="3" width="33.140625" style="2" customWidth="1"/>
    <col min="4" max="4" width="12.5703125" style="2" hidden="1" customWidth="1"/>
    <col min="5" max="9" width="13.7109375" style="2" bestFit="1" customWidth="1"/>
    <col min="10" max="10" width="14" style="2" bestFit="1" customWidth="1"/>
    <col min="11" max="12" width="13.7109375" style="2" bestFit="1" customWidth="1"/>
    <col min="13" max="13" width="15.28515625" style="2" bestFit="1" customWidth="1"/>
    <col min="14" max="14" width="13.7109375" style="2" bestFit="1" customWidth="1"/>
    <col min="15" max="15" width="15.28515625" style="2" bestFit="1" customWidth="1"/>
    <col min="16" max="16" width="10.7109375" style="2" bestFit="1" customWidth="1"/>
    <col min="17" max="17" width="9.140625" style="2"/>
    <col min="18" max="18" width="19" style="2" bestFit="1" customWidth="1"/>
    <col min="19" max="19" width="15.28515625" style="2" bestFit="1" customWidth="1"/>
    <col min="20" max="16384" width="9.140625" style="2"/>
  </cols>
  <sheetData>
    <row r="2" spans="2:15" x14ac:dyDescent="0.25">
      <c r="B2" s="26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5" x14ac:dyDescent="0.25">
      <c r="C3" s="26" t="s">
        <v>22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ht="9" customHeight="1" x14ac:dyDescent="0.25">
      <c r="C4" s="3"/>
      <c r="D4" s="3"/>
      <c r="E4" s="3"/>
      <c r="F4" s="3"/>
      <c r="G4" s="3"/>
      <c r="H4" s="3"/>
      <c r="I4" s="3"/>
      <c r="J4" s="3"/>
      <c r="K4" s="4"/>
    </row>
    <row r="5" spans="2:15" x14ac:dyDescent="0.25">
      <c r="C5" s="2" t="s">
        <v>24</v>
      </c>
      <c r="E5" s="5">
        <v>10111719</v>
      </c>
      <c r="G5" s="27" t="s">
        <v>21</v>
      </c>
      <c r="H5" s="27"/>
      <c r="I5" s="7">
        <v>6.9000000000000006E-2</v>
      </c>
      <c r="J5" s="7"/>
      <c r="K5" s="27" t="s">
        <v>2</v>
      </c>
      <c r="L5" s="27"/>
      <c r="M5" s="7">
        <v>2E-3</v>
      </c>
    </row>
    <row r="6" spans="2:15" x14ac:dyDescent="0.25">
      <c r="F6" s="8"/>
      <c r="G6" s="27" t="s">
        <v>20</v>
      </c>
      <c r="H6" s="27"/>
      <c r="I6" s="7">
        <v>0.04</v>
      </c>
      <c r="J6" s="7"/>
      <c r="K6" s="27" t="s">
        <v>19</v>
      </c>
      <c r="L6" s="27"/>
      <c r="M6" s="9">
        <v>1.2999999999999999E-2</v>
      </c>
    </row>
    <row r="7" spans="2:15" ht="9" customHeight="1" x14ac:dyDescent="0.25">
      <c r="C7" s="8"/>
      <c r="D7" s="8"/>
      <c r="E7" s="8"/>
      <c r="F7" s="8"/>
      <c r="G7" s="6"/>
      <c r="H7" s="6"/>
      <c r="I7" s="7"/>
      <c r="J7" s="7"/>
      <c r="L7" s="6"/>
      <c r="M7" s="6"/>
      <c r="N7" s="9"/>
    </row>
    <row r="8" spans="2:15" x14ac:dyDescent="0.25">
      <c r="D8" s="26" t="s">
        <v>18</v>
      </c>
      <c r="E8" s="26"/>
      <c r="F8" s="26"/>
      <c r="G8" s="26"/>
      <c r="H8" s="26"/>
      <c r="I8" s="26"/>
      <c r="J8" s="1"/>
      <c r="K8" s="26" t="s">
        <v>17</v>
      </c>
      <c r="L8" s="26"/>
      <c r="M8" s="26"/>
      <c r="N8" s="26"/>
      <c r="O8" s="26"/>
    </row>
    <row r="9" spans="2:15" x14ac:dyDescent="0.25">
      <c r="D9" s="10">
        <v>2018</v>
      </c>
      <c r="E9" s="10">
        <v>2019</v>
      </c>
      <c r="F9" s="10">
        <v>2020</v>
      </c>
      <c r="G9" s="10">
        <v>2021</v>
      </c>
      <c r="H9" s="10">
        <v>2022</v>
      </c>
      <c r="I9" s="10">
        <v>2023</v>
      </c>
      <c r="J9" s="10">
        <v>2024</v>
      </c>
      <c r="K9" s="10">
        <v>2025</v>
      </c>
      <c r="L9" s="10">
        <v>2026</v>
      </c>
      <c r="M9" s="10">
        <v>2027</v>
      </c>
    </row>
    <row r="10" spans="2:15" ht="9" customHeight="1" x14ac:dyDescent="0.25"/>
    <row r="11" spans="2:15" ht="15" customHeight="1" x14ac:dyDescent="0.25">
      <c r="B11" s="2" t="s">
        <v>16</v>
      </c>
      <c r="D11" s="11">
        <v>81542654.030000001</v>
      </c>
      <c r="E11" s="11">
        <f>D20</f>
        <v>83096850.61999999</v>
      </c>
      <c r="F11" s="11">
        <f>E20</f>
        <v>101491543.41</v>
      </c>
      <c r="G11" s="11">
        <f>F20</f>
        <v>116054703.19999999</v>
      </c>
      <c r="H11" s="11">
        <f>G20</f>
        <v>144134476.83000001</v>
      </c>
      <c r="I11" s="11">
        <f>H20</f>
        <v>135650969.72999996</v>
      </c>
      <c r="J11" s="11">
        <f>I20</f>
        <v>142709308.73999995</v>
      </c>
      <c r="K11" s="11">
        <f>J20</f>
        <v>154457239.06235996</v>
      </c>
      <c r="L11" s="11">
        <f>K20</f>
        <v>169869640.409233</v>
      </c>
      <c r="M11" s="11">
        <f>L20</f>
        <v>187247815.37496227</v>
      </c>
    </row>
    <row r="12" spans="2:15" ht="15" customHeight="1" x14ac:dyDescent="0.25">
      <c r="B12" s="2" t="s">
        <v>14</v>
      </c>
      <c r="D12" s="11">
        <v>8135593.9100000001</v>
      </c>
      <c r="E12" s="11">
        <v>9034518.6500000004</v>
      </c>
      <c r="F12" s="11">
        <v>9160357.4900000002</v>
      </c>
      <c r="G12" s="11">
        <v>14408883.82</v>
      </c>
      <c r="H12" s="11">
        <v>9819242.8599999994</v>
      </c>
      <c r="I12" s="11">
        <v>5278250.9800000004</v>
      </c>
      <c r="J12" s="11">
        <v>9000000</v>
      </c>
      <c r="K12" s="11">
        <v>9000000</v>
      </c>
      <c r="L12" s="11">
        <v>9000000</v>
      </c>
      <c r="M12" s="11">
        <v>9000000</v>
      </c>
    </row>
    <row r="13" spans="2:15" x14ac:dyDescent="0.25">
      <c r="B13" s="2" t="s">
        <v>12</v>
      </c>
      <c r="D13" s="11"/>
      <c r="E13" s="11"/>
      <c r="F13" s="11"/>
      <c r="G13" s="11"/>
      <c r="H13" s="11"/>
      <c r="I13" s="11"/>
      <c r="J13" s="11">
        <v>750000</v>
      </c>
      <c r="K13" s="11">
        <v>4250000</v>
      </c>
      <c r="L13" s="11">
        <v>6000000</v>
      </c>
      <c r="M13" s="11">
        <v>2500000</v>
      </c>
    </row>
    <row r="14" spans="2:15" x14ac:dyDescent="0.25">
      <c r="B14" s="2" t="s">
        <v>4</v>
      </c>
      <c r="D14" s="11">
        <v>-2195713.04</v>
      </c>
      <c r="E14" s="11">
        <v>13817908.470000001</v>
      </c>
      <c r="F14" s="11">
        <v>11902256.880000001</v>
      </c>
      <c r="G14" s="11">
        <v>21679609.77</v>
      </c>
      <c r="H14" s="11">
        <v>-8123810.1100000003</v>
      </c>
      <c r="I14" s="11">
        <f>8702818.32+1979963.3+425692</f>
        <v>11108473.620000001</v>
      </c>
      <c r="J14" s="11">
        <f>J11*$I$5</f>
        <v>9846942.303059997</v>
      </c>
      <c r="K14" s="11">
        <f>K11*$I$5</f>
        <v>10657549.495302837</v>
      </c>
      <c r="L14" s="11">
        <f>L11*$I$5</f>
        <v>11721005.188237078</v>
      </c>
      <c r="M14" s="11">
        <f>M11*$I$5</f>
        <v>12920099.260872398</v>
      </c>
    </row>
    <row r="15" spans="2:15" ht="9" customHeight="1" x14ac:dyDescent="0.25"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2:15" x14ac:dyDescent="0.25">
      <c r="B16" s="2" t="s">
        <v>3</v>
      </c>
      <c r="D16" s="11">
        <v>-3278374.93</v>
      </c>
      <c r="E16" s="11">
        <v>-3268332.53</v>
      </c>
      <c r="F16" s="11">
        <v>-5094350.28</v>
      </c>
      <c r="G16" s="11">
        <v>-6463488.8899999997</v>
      </c>
      <c r="H16" s="11">
        <v>-8257596.9299999997</v>
      </c>
      <c r="I16" s="11">
        <f>-9328385.59-I17-I18</f>
        <v>-7428744.25</v>
      </c>
      <c r="J16" s="11">
        <f>J11*-$I$6</f>
        <v>-5708372.3495999984</v>
      </c>
      <c r="K16" s="11">
        <f>K11*-$I$6</f>
        <v>-6178289.5624943981</v>
      </c>
      <c r="L16" s="11">
        <f>L11*-$I$6</f>
        <v>-6794785.6163693201</v>
      </c>
      <c r="M16" s="11">
        <f>M11*-$I$6</f>
        <v>-7489912.6149984905</v>
      </c>
    </row>
    <row r="17" spans="2:16" x14ac:dyDescent="0.25">
      <c r="B17" s="2" t="s">
        <v>2</v>
      </c>
      <c r="D17" s="11">
        <v>-150753.66</v>
      </c>
      <c r="E17" s="11">
        <v>-98092.33</v>
      </c>
      <c r="F17" s="11">
        <v>-207243.45</v>
      </c>
      <c r="G17" s="11">
        <v>-81060.070000000007</v>
      </c>
      <c r="H17" s="11">
        <v>-347971.43</v>
      </c>
      <c r="I17" s="11">
        <v>-251261.24</v>
      </c>
      <c r="J17" s="11">
        <f>-J11*$M$5</f>
        <v>-285418.6174799999</v>
      </c>
      <c r="K17" s="11">
        <f>-K11*$M$5</f>
        <v>-308914.47812471993</v>
      </c>
      <c r="L17" s="11">
        <f>-L11*$M$5</f>
        <v>-339739.28081846604</v>
      </c>
      <c r="M17" s="11">
        <f>-M11*$M$5</f>
        <v>-374495.63074992457</v>
      </c>
    </row>
    <row r="18" spans="2:16" x14ac:dyDescent="0.25">
      <c r="B18" s="2" t="s">
        <v>1</v>
      </c>
      <c r="D18" s="11">
        <v>-956555.69</v>
      </c>
      <c r="E18" s="11">
        <v>-1091309.47</v>
      </c>
      <c r="F18" s="11">
        <v>-1197860.8500000001</v>
      </c>
      <c r="G18" s="11">
        <v>-1464171</v>
      </c>
      <c r="H18" s="11">
        <v>-1573371.49</v>
      </c>
      <c r="I18" s="11">
        <v>-1648380.1</v>
      </c>
      <c r="J18" s="11">
        <f>J11*-$M$6</f>
        <v>-1855221.0136199992</v>
      </c>
      <c r="K18" s="11">
        <f>K11*-$M$6</f>
        <v>-2007944.1078106794</v>
      </c>
      <c r="L18" s="11">
        <f>L11*-$M$6</f>
        <v>-2208305.3253200292</v>
      </c>
      <c r="M18" s="11">
        <f>M11*-$M$6</f>
        <v>-2434221.5998745095</v>
      </c>
    </row>
    <row r="19" spans="2:16" ht="9" customHeight="1" x14ac:dyDescent="0.25"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6" x14ac:dyDescent="0.25">
      <c r="B20" s="3" t="s">
        <v>11</v>
      </c>
      <c r="C20" s="3"/>
      <c r="D20" s="12">
        <f t="shared" ref="D20:H20" si="0">SUM(D11:D19)</f>
        <v>83096850.61999999</v>
      </c>
      <c r="E20" s="12">
        <f t="shared" si="0"/>
        <v>101491543.41</v>
      </c>
      <c r="F20" s="12">
        <f t="shared" si="0"/>
        <v>116054703.19999999</v>
      </c>
      <c r="G20" s="12">
        <f t="shared" si="0"/>
        <v>144134476.83000001</v>
      </c>
      <c r="H20" s="12">
        <f t="shared" si="0"/>
        <v>135650969.72999996</v>
      </c>
      <c r="I20" s="12">
        <f>SUM(I11:I19)</f>
        <v>142709308.73999995</v>
      </c>
      <c r="J20" s="12">
        <f>SUM(J11:J19)</f>
        <v>154457239.06235996</v>
      </c>
      <c r="K20" s="12">
        <f>SUM(K11:K19)</f>
        <v>169869640.409233</v>
      </c>
      <c r="L20" s="12">
        <f>SUM(L11:L19)</f>
        <v>187247815.37496227</v>
      </c>
      <c r="M20" s="12">
        <f>SUM(M11:M19)</f>
        <v>201369284.79021177</v>
      </c>
      <c r="P20" s="32"/>
    </row>
    <row r="21" spans="2:16" ht="9" customHeight="1" x14ac:dyDescent="0.25">
      <c r="D21" s="11"/>
      <c r="E21" s="11"/>
      <c r="F21" s="11"/>
      <c r="G21" s="11"/>
      <c r="H21" s="11"/>
      <c r="I21" s="13"/>
      <c r="J21" s="13"/>
      <c r="K21" s="13"/>
      <c r="L21" s="13"/>
      <c r="M21" s="13"/>
    </row>
    <row r="22" spans="2:16" x14ac:dyDescent="0.25">
      <c r="B22" s="2" t="s">
        <v>10</v>
      </c>
      <c r="D22" s="11">
        <f>'[1]Budget(1)'!D52</f>
        <v>1388429</v>
      </c>
      <c r="E22" s="11">
        <f>'[1]Budget(1)'!E52</f>
        <v>1452060</v>
      </c>
      <c r="F22" s="11">
        <f>'[1]Budget(1)'!F52</f>
        <v>1505898</v>
      </c>
      <c r="G22" s="11">
        <f>'[1]Budget(1)'!G52</f>
        <v>1783634</v>
      </c>
      <c r="H22" s="11">
        <f>'[1]Budget(1)'!H52</f>
        <v>2130713</v>
      </c>
      <c r="I22" s="13">
        <v>2396276.75</v>
      </c>
      <c r="J22" s="13">
        <v>2751065</v>
      </c>
      <c r="K22" s="13">
        <v>2951666</v>
      </c>
      <c r="L22" s="13">
        <v>3109203</v>
      </c>
      <c r="M22" s="13">
        <v>3082981</v>
      </c>
    </row>
    <row r="23" spans="2:16" x14ac:dyDescent="0.25">
      <c r="B23" s="3" t="s">
        <v>9</v>
      </c>
      <c r="C23" s="3"/>
      <c r="D23" s="4">
        <f>'[1]Budget(1)'!D58</f>
        <v>109435</v>
      </c>
      <c r="E23" s="4">
        <f>'[1]Budget(1)'!E58</f>
        <v>198454</v>
      </c>
      <c r="F23" s="4">
        <f>'[1]Budget(1)'!F58</f>
        <v>358609</v>
      </c>
      <c r="G23" s="4">
        <f>'[1]Budget(1)'!G58</f>
        <v>173355</v>
      </c>
      <c r="H23" s="4">
        <f>'[1]Budget(1)'!H58</f>
        <v>542772</v>
      </c>
      <c r="I23" s="4">
        <f>'[1]Budget(1)'!I58</f>
        <v>424160</v>
      </c>
      <c r="J23" s="4">
        <v>121383</v>
      </c>
      <c r="K23" s="4">
        <v>-211852</v>
      </c>
      <c r="L23" s="4">
        <v>-118548</v>
      </c>
      <c r="M23" s="4">
        <v>876</v>
      </c>
    </row>
    <row r="24" spans="2:16" ht="9" customHeight="1" x14ac:dyDescent="0.25">
      <c r="D24" s="11"/>
      <c r="E24" s="11"/>
      <c r="F24" s="11"/>
      <c r="G24" s="11"/>
      <c r="H24" s="11"/>
      <c r="I24" s="13"/>
      <c r="J24" s="13"/>
      <c r="K24" s="13"/>
      <c r="L24" s="13"/>
      <c r="M24" s="13"/>
    </row>
    <row r="25" spans="2:16" x14ac:dyDescent="0.25">
      <c r="B25" s="3" t="s">
        <v>8</v>
      </c>
      <c r="C25" s="3"/>
      <c r="D25" s="4">
        <f>'[1]Budget(1)'!D60</f>
        <v>605115.29</v>
      </c>
      <c r="E25" s="4">
        <f>'[1]Budget(1)'!E60</f>
        <v>803569.29</v>
      </c>
      <c r="F25" s="4">
        <f>'[1]Budget(1)'!F60</f>
        <v>1162178.29</v>
      </c>
      <c r="G25" s="4">
        <f>'[1]Budget(1)'!G60</f>
        <v>1335714.6200000001</v>
      </c>
      <c r="H25" s="4">
        <f>'[1]Budget(1)'!H60</f>
        <v>1878486.62</v>
      </c>
      <c r="I25" s="4">
        <f>'[1]Budget(1)'!I60</f>
        <v>2302646.62</v>
      </c>
      <c r="J25" s="4">
        <v>2424030</v>
      </c>
      <c r="K25" s="4">
        <v>2212178</v>
      </c>
      <c r="L25" s="4">
        <v>2093629</v>
      </c>
      <c r="M25" s="4">
        <v>2094506</v>
      </c>
    </row>
    <row r="26" spans="2:16" x14ac:dyDescent="0.25">
      <c r="B26" s="2" t="s">
        <v>7</v>
      </c>
      <c r="D26" s="14">
        <f>'[1]Budget(1)'!D61</f>
        <v>272567</v>
      </c>
      <c r="E26" s="14">
        <f>'[1]Budget(1)'!E61</f>
        <v>272567</v>
      </c>
      <c r="F26" s="14">
        <f>'[1]Budget(1)'!F61</f>
        <v>272567</v>
      </c>
      <c r="G26" s="14">
        <f>'[1]Budget(1)'!G61</f>
        <v>272567</v>
      </c>
      <c r="H26" s="14">
        <f>'[1]Budget(1)'!H61</f>
        <v>272567</v>
      </c>
      <c r="I26" s="14">
        <f>'[1]Budget(1)'!I61</f>
        <v>272567</v>
      </c>
      <c r="J26" s="14">
        <f>'[1]Budget(1)'!J61</f>
        <v>272567</v>
      </c>
      <c r="K26" s="14">
        <f>'[1]Budget(1)'!K61</f>
        <v>272567</v>
      </c>
      <c r="L26" s="14">
        <f>'[1]Budget(1)'!L61</f>
        <v>272567</v>
      </c>
      <c r="M26" s="14">
        <f>'[1]Budget(1)'!M61</f>
        <v>272567</v>
      </c>
    </row>
    <row r="27" spans="2:16" x14ac:dyDescent="0.25">
      <c r="D27" s="15">
        <f t="shared" ref="D27:H27" si="1">D25+D26</f>
        <v>877682.29</v>
      </c>
      <c r="E27" s="15">
        <f t="shared" si="1"/>
        <v>1076136.29</v>
      </c>
      <c r="F27" s="15">
        <f t="shared" si="1"/>
        <v>1434745.29</v>
      </c>
      <c r="G27" s="15">
        <f t="shared" si="1"/>
        <v>1608281.62</v>
      </c>
      <c r="H27" s="15">
        <f t="shared" si="1"/>
        <v>2151053.62</v>
      </c>
      <c r="I27" s="15">
        <f>I25+I26</f>
        <v>2575213.62</v>
      </c>
      <c r="J27" s="15">
        <f>J25+J26</f>
        <v>2696597</v>
      </c>
      <c r="K27" s="15">
        <f>K25+K26</f>
        <v>2484745</v>
      </c>
      <c r="L27" s="15">
        <f>L25+L26</f>
        <v>2366196</v>
      </c>
      <c r="M27" s="15">
        <f>M25+M26</f>
        <v>2367073</v>
      </c>
    </row>
    <row r="28" spans="2:16" ht="9" customHeight="1" x14ac:dyDescent="0.25"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6" ht="30" customHeight="1" x14ac:dyDescent="0.25">
      <c r="B29" s="30" t="s">
        <v>6</v>
      </c>
      <c r="C29" s="30"/>
      <c r="D29" s="16">
        <f>D25/E22</f>
        <v>0.41672884729281162</v>
      </c>
      <c r="E29" s="16">
        <f>E25/F22</f>
        <v>0.5336146870505174</v>
      </c>
      <c r="F29" s="16">
        <f>F25/G22</f>
        <v>0.65157890576205657</v>
      </c>
      <c r="G29" s="16">
        <f>G25/H22</f>
        <v>0.62688622071578859</v>
      </c>
      <c r="H29" s="16">
        <f>H25/I22</f>
        <v>0.78391889417614224</v>
      </c>
      <c r="I29" s="16">
        <f>I25/J22</f>
        <v>0.83700189562951077</v>
      </c>
      <c r="J29" s="16">
        <f>J25/K22</f>
        <v>0.82124129220582542</v>
      </c>
      <c r="K29" s="16">
        <f>K25/L22</f>
        <v>0.71149358854986311</v>
      </c>
      <c r="L29" s="16">
        <f>L25/M22</f>
        <v>0.67909241088414107</v>
      </c>
      <c r="M29" s="17"/>
    </row>
    <row r="30" spans="2:16" ht="29.25" customHeight="1" x14ac:dyDescent="0.25">
      <c r="B30" s="31" t="s">
        <v>5</v>
      </c>
      <c r="C30" s="31"/>
      <c r="D30" s="17">
        <f>D27/E22</f>
        <v>0.60443941021720871</v>
      </c>
      <c r="E30" s="17">
        <f>E27/F22</f>
        <v>0.71461432978860462</v>
      </c>
      <c r="F30" s="17">
        <f>F27/G22</f>
        <v>0.8043944497581903</v>
      </c>
      <c r="G30" s="17">
        <f>G27/H22</f>
        <v>0.7548091272733588</v>
      </c>
      <c r="H30" s="17">
        <f>H27/I22</f>
        <v>0.89766493790836144</v>
      </c>
      <c r="I30" s="17">
        <f>I27/J22</f>
        <v>0.93607879857437037</v>
      </c>
      <c r="J30" s="17">
        <f>J27/K22</f>
        <v>0.91358473485821223</v>
      </c>
      <c r="K30" s="17">
        <f>K27/L22</f>
        <v>0.79915817654878119</v>
      </c>
      <c r="L30" s="17">
        <f>L27/M22</f>
        <v>0.76750262165092809</v>
      </c>
      <c r="M30" s="17"/>
    </row>
    <row r="31" spans="2:16" ht="9" customHeight="1" x14ac:dyDescent="0.25">
      <c r="B31" s="8"/>
      <c r="C31" s="8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6" ht="409.5" hidden="1" x14ac:dyDescent="0.25">
      <c r="B32" s="18" t="s">
        <v>0</v>
      </c>
      <c r="C32" s="18"/>
      <c r="D32" s="19"/>
      <c r="E32" s="19"/>
      <c r="F32" s="19"/>
      <c r="G32" s="19"/>
      <c r="H32" s="19"/>
      <c r="I32" s="20">
        <f>1508158.58-1566.58</f>
        <v>1506592</v>
      </c>
      <c r="J32" s="13">
        <f>I39</f>
        <v>1517138.1440000001</v>
      </c>
      <c r="K32" s="13">
        <f>J39</f>
        <v>1538378.0780160001</v>
      </c>
      <c r="L32" s="13">
        <f>K39</f>
        <v>1559915.3711082241</v>
      </c>
      <c r="M32" s="13">
        <f>L39</f>
        <v>1581754.1863037392</v>
      </c>
    </row>
    <row r="33" spans="2:13" hidden="1" x14ac:dyDescent="0.25">
      <c r="B33" s="8" t="s">
        <v>4</v>
      </c>
      <c r="C33" s="8"/>
      <c r="D33" s="13"/>
      <c r="E33" s="13"/>
      <c r="F33" s="13"/>
      <c r="G33" s="13"/>
      <c r="H33" s="13"/>
      <c r="I33" s="11">
        <f>I32*($I$5*0.5)</f>
        <v>51977.424000000006</v>
      </c>
      <c r="J33" s="11">
        <f>J32*($I$5)</f>
        <v>104682.53193600001</v>
      </c>
      <c r="K33" s="11">
        <f>K32*($I$5)</f>
        <v>106148.08738310402</v>
      </c>
      <c r="L33" s="11">
        <f>L32*($I$5)</f>
        <v>107634.16060646747</v>
      </c>
      <c r="M33" s="11">
        <f>M32*($I$5)</f>
        <v>109141.03885495801</v>
      </c>
    </row>
    <row r="34" spans="2:13" hidden="1" x14ac:dyDescent="0.25">
      <c r="B34" s="8"/>
      <c r="C34" s="8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2:13" hidden="1" x14ac:dyDescent="0.25">
      <c r="B35" s="8" t="s">
        <v>3</v>
      </c>
      <c r="C35" s="8"/>
      <c r="D35" s="13"/>
      <c r="E35" s="13"/>
      <c r="F35" s="13"/>
      <c r="G35" s="13"/>
      <c r="H35" s="13"/>
      <c r="I35" s="11">
        <f>I32*-($I$6*0.5)</f>
        <v>-30131.84</v>
      </c>
      <c r="J35" s="11">
        <f>J32*-($I$6)</f>
        <v>-60685.525760000004</v>
      </c>
      <c r="K35" s="11">
        <f>K32*-($I$6)</f>
        <v>-61535.123120640004</v>
      </c>
      <c r="L35" s="11">
        <f>L32*-($I$6)</f>
        <v>-62396.614844328964</v>
      </c>
      <c r="M35" s="11">
        <f>M32*-($I$6)</f>
        <v>-63270.167452149566</v>
      </c>
    </row>
    <row r="36" spans="2:13" hidden="1" x14ac:dyDescent="0.25">
      <c r="B36" s="8" t="s">
        <v>2</v>
      </c>
      <c r="C36" s="8"/>
      <c r="D36" s="13"/>
      <c r="E36" s="13"/>
      <c r="F36" s="13"/>
      <c r="G36" s="13"/>
      <c r="H36" s="13"/>
      <c r="I36" s="11">
        <f>-I32*($M$5*0.5)</f>
        <v>-1506.5920000000001</v>
      </c>
      <c r="J36" s="11">
        <f>-J32*($M$5)</f>
        <v>-3034.276288</v>
      </c>
      <c r="K36" s="11">
        <f>-K32*($M$5)</f>
        <v>-3076.7561560320005</v>
      </c>
      <c r="L36" s="11">
        <f>-L32*($M$5)</f>
        <v>-3119.8307422164485</v>
      </c>
      <c r="M36" s="11">
        <f>-M32*($M$5)</f>
        <v>-3163.5083726074786</v>
      </c>
    </row>
    <row r="37" spans="2:13" hidden="1" x14ac:dyDescent="0.25">
      <c r="B37" s="8" t="s">
        <v>1</v>
      </c>
      <c r="C37" s="8"/>
      <c r="D37" s="13"/>
      <c r="E37" s="13"/>
      <c r="F37" s="13"/>
      <c r="G37" s="13"/>
      <c r="H37" s="13"/>
      <c r="I37" s="11">
        <f>I32*-($M$6*0.5)</f>
        <v>-9792.848</v>
      </c>
      <c r="J37" s="11">
        <f>J32*-($M$6)</f>
        <v>-19722.795871999999</v>
      </c>
      <c r="K37" s="11">
        <f>K32*-($M$6)</f>
        <v>-19998.915014208</v>
      </c>
      <c r="L37" s="11">
        <f>L32*-($M$6)</f>
        <v>-20278.899824406912</v>
      </c>
      <c r="M37" s="11">
        <f>M32*-($M$6)</f>
        <v>-20562.804421948607</v>
      </c>
    </row>
    <row r="38" spans="2:13" hidden="1" x14ac:dyDescent="0.25">
      <c r="B38" s="8"/>
      <c r="C38" s="8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3" ht="15" customHeight="1" x14ac:dyDescent="0.25">
      <c r="B39" s="30" t="s">
        <v>0</v>
      </c>
      <c r="C39" s="30"/>
      <c r="D39" s="21">
        <v>1188630.47</v>
      </c>
      <c r="E39" s="21">
        <v>1308805.96</v>
      </c>
      <c r="F39" s="21">
        <v>1388682.5</v>
      </c>
      <c r="G39" s="21">
        <v>1555209.39</v>
      </c>
      <c r="H39" s="21">
        <v>1444690.88</v>
      </c>
      <c r="I39" s="4">
        <f>SUM(I32:I37)</f>
        <v>1517138.1440000001</v>
      </c>
      <c r="J39" s="4">
        <f>SUM(J32:J37)</f>
        <v>1538378.0780160001</v>
      </c>
      <c r="K39" s="4">
        <f>SUM(K32:K37)</f>
        <v>1559915.3711082241</v>
      </c>
      <c r="L39" s="4">
        <f>SUM(L32:L37)</f>
        <v>1581754.1863037392</v>
      </c>
      <c r="M39" s="4">
        <f>SUM(M32:M37)</f>
        <v>1603898.7449119918</v>
      </c>
    </row>
    <row r="40" spans="2:13" x14ac:dyDescent="0.25">
      <c r="B40" s="30"/>
      <c r="C40" s="30"/>
    </row>
    <row r="41" spans="2:13" x14ac:dyDescent="0.25">
      <c r="K41" s="29" t="s">
        <v>15</v>
      </c>
      <c r="L41" s="29"/>
      <c r="M41" s="22">
        <f>SUM(J12:M13)</f>
        <v>49500000</v>
      </c>
    </row>
    <row r="42" spans="2:13" ht="15" customHeight="1" x14ac:dyDescent="0.25">
      <c r="I42" s="28" t="s">
        <v>13</v>
      </c>
      <c r="J42" s="28"/>
      <c r="K42" s="28"/>
      <c r="L42" s="28"/>
      <c r="M42" s="23">
        <f>SUM(J13:M13)</f>
        <v>13500000</v>
      </c>
    </row>
    <row r="43" spans="2:13" x14ac:dyDescent="0.25">
      <c r="I43" s="25"/>
      <c r="J43" s="25"/>
      <c r="K43" s="25"/>
      <c r="L43" s="25"/>
      <c r="M43" s="24"/>
    </row>
  </sheetData>
  <mergeCells count="13">
    <mergeCell ref="B29:C29"/>
    <mergeCell ref="B30:C30"/>
    <mergeCell ref="B39:C40"/>
    <mergeCell ref="B2:O2"/>
    <mergeCell ref="C3:O3"/>
    <mergeCell ref="D8:I8"/>
    <mergeCell ref="K5:L5"/>
    <mergeCell ref="K6:L6"/>
    <mergeCell ref="K8:O8"/>
    <mergeCell ref="G5:H5"/>
    <mergeCell ref="G6:H6"/>
    <mergeCell ref="I42:L42"/>
    <mergeCell ref="K41:L41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Endowment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Williams</dc:creator>
  <cp:lastModifiedBy>Nick Williams</cp:lastModifiedBy>
  <dcterms:created xsi:type="dcterms:W3CDTF">2024-01-30T18:42:29Z</dcterms:created>
  <dcterms:modified xsi:type="dcterms:W3CDTF">2024-02-07T19:34:59Z</dcterms:modified>
</cp:coreProperties>
</file>